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V:\TIMEKLIS\htdocs\itsourcers_com\site\en\intro\"/>
    </mc:Choice>
  </mc:AlternateContent>
  <bookViews>
    <workbookView xWindow="240" yWindow="75" windowWidth="14265" windowHeight="8910"/>
  </bookViews>
  <sheets>
    <sheet name="Offsite-Offshore" sheetId="1" r:id="rId1"/>
  </sheets>
  <definedNames>
    <definedName name="CSR">'Offsite-Offshore'!$B$11</definedName>
    <definedName name="DEV">'Offsite-Offshore'!$B$9</definedName>
    <definedName name="OffP">'Offsite-Offshore'!$B$14</definedName>
    <definedName name="OffStaff">'Offsite-Offshore'!$B$31</definedName>
    <definedName name="OffStaffDol">'Offsite-Offshore'!$E$31</definedName>
    <definedName name="OnP">'Offsite-Offshore'!$C$14</definedName>
    <definedName name="OnStaff">'Offsite-Offshore'!$B$23</definedName>
    <definedName name="OnStaffDol">'Offsite-Offshore'!$E$23</definedName>
    <definedName name="OutStaff">'Offsite-Offshore'!$B$32</definedName>
    <definedName name="PM">'Offsite-Offshore'!$B$7</definedName>
    <definedName name="_xlnm.Print_Area" localSheetId="0">'Offsite-Offshore'!$A:$F</definedName>
    <definedName name="ProdP">'Offsite-Offshore'!$B$15</definedName>
    <definedName name="Staff">'Offsite-Offshore'!$B$12</definedName>
    <definedName name="StaffDol">'Offsite-Offshore'!$E$12</definedName>
    <definedName name="TL">'Offsite-Offshore'!$B$8</definedName>
    <definedName name="TST">'Offsite-Offshore'!$B$10</definedName>
  </definedNames>
  <calcPr calcId="152511"/>
</workbook>
</file>

<file path=xl/calcChain.xml><?xml version="1.0" encoding="utf-8"?>
<calcChain xmlns="http://schemas.openxmlformats.org/spreadsheetml/2006/main">
  <c r="F6" i="1" l="1"/>
  <c r="D6" i="1"/>
  <c r="B12" i="1" l="1"/>
  <c r="E63" i="1"/>
  <c r="C64" i="1"/>
  <c r="E64" i="1"/>
  <c r="D10" i="1"/>
  <c r="E10" i="1" s="1"/>
  <c r="F10" i="1" s="1"/>
  <c r="D11" i="1"/>
  <c r="E11" i="1" s="1"/>
  <c r="F11" i="1" s="1"/>
  <c r="D9" i="1"/>
  <c r="E9" i="1" s="1"/>
  <c r="F9" i="1" s="1"/>
  <c r="D8" i="1"/>
  <c r="E8" i="1" s="1"/>
  <c r="F8" i="1" s="1"/>
  <c r="D7" i="1"/>
  <c r="E7" i="1" s="1"/>
  <c r="C45" i="1"/>
  <c r="D18" i="1"/>
  <c r="C14" i="1"/>
  <c r="B18" i="1" s="1"/>
  <c r="B26" i="1" s="1"/>
  <c r="D19" i="1"/>
  <c r="D20" i="1"/>
  <c r="D21" i="1"/>
  <c r="D22" i="1"/>
  <c r="E22" i="1" s="1"/>
  <c r="D26" i="1"/>
  <c r="D27" i="1"/>
  <c r="D28" i="1"/>
  <c r="D29" i="1"/>
  <c r="D30" i="1"/>
  <c r="B30" i="1"/>
  <c r="E30" i="1" s="1"/>
  <c r="E53" i="1"/>
  <c r="E54" i="1"/>
  <c r="E55" i="1"/>
  <c r="E56" i="1"/>
  <c r="E57" i="1"/>
  <c r="E58" i="1"/>
  <c r="C65" i="1"/>
  <c r="E65" i="1"/>
  <c r="A32" i="1"/>
  <c r="C66" i="1"/>
  <c r="E66" i="1" l="1"/>
  <c r="B21" i="1"/>
  <c r="B29" i="1" s="1"/>
  <c r="E29" i="1" s="1"/>
  <c r="B19" i="1"/>
  <c r="E19" i="1" s="1"/>
  <c r="B20" i="1"/>
  <c r="B28" i="1" s="1"/>
  <c r="E28" i="1" s="1"/>
  <c r="E12" i="1"/>
  <c r="F7" i="1"/>
  <c r="E21" i="1"/>
  <c r="B27" i="1"/>
  <c r="E18" i="1"/>
  <c r="C34" i="1"/>
  <c r="E26" i="1"/>
  <c r="F12" i="1"/>
  <c r="E13" i="1" s="1"/>
  <c r="C48" i="1"/>
  <c r="C43" i="1"/>
  <c r="C52" i="1"/>
  <c r="C46" i="1"/>
  <c r="C42" i="1"/>
  <c r="C44" i="1"/>
  <c r="C47" i="1"/>
  <c r="C49" i="1"/>
  <c r="B31" i="1" l="1"/>
  <c r="B23" i="1"/>
  <c r="E20" i="1"/>
  <c r="E23" i="1" s="1"/>
  <c r="E27" i="1"/>
  <c r="E31" i="1" s="1"/>
  <c r="E35" i="1" s="1"/>
  <c r="E36" i="1" s="1"/>
  <c r="E44" i="1"/>
  <c r="B32" i="1"/>
  <c r="E47" i="1" s="1"/>
  <c r="E52" i="1"/>
  <c r="E46" i="1"/>
  <c r="E49" i="1"/>
  <c r="E45" i="1"/>
  <c r="E42" i="1"/>
  <c r="E48" i="1"/>
  <c r="E43" i="1"/>
  <c r="C59" i="1"/>
  <c r="C68" i="1" s="1"/>
  <c r="E34" i="1" l="1"/>
  <c r="E59" i="1"/>
  <c r="E68" i="1" s="1"/>
  <c r="E75" i="1" s="1"/>
  <c r="C75" i="1"/>
  <c r="E69" i="1" l="1"/>
  <c r="E70" i="1" s="1"/>
  <c r="D82" i="1"/>
  <c r="C82" i="1"/>
  <c r="B82" i="1"/>
  <c r="E79" i="1"/>
  <c r="B83" i="1" s="1"/>
  <c r="E76" i="1"/>
  <c r="C83" i="1"/>
  <c r="D83" i="1"/>
  <c r="C84" i="1" l="1"/>
  <c r="E83" i="1"/>
  <c r="B84" i="1"/>
  <c r="E82" i="1"/>
  <c r="E77" i="1"/>
  <c r="E78" i="1"/>
  <c r="D76" i="1"/>
  <c r="D84" i="1"/>
  <c r="E84" i="1" l="1"/>
  <c r="E85" i="1" s="1"/>
</calcChain>
</file>

<file path=xl/comments1.xml><?xml version="1.0" encoding="utf-8"?>
<comments xmlns="http://schemas.openxmlformats.org/spreadsheetml/2006/main">
  <authors>
    <author>Peters J. Vecrumba</author>
  </authors>
  <commentList>
    <comment ref="B22" authorId="0" shapeId="0">
      <text>
        <r>
          <rPr>
            <sz val="10"/>
            <color indexed="81"/>
            <rFont val="Tahoma"/>
            <family val="2"/>
          </rPr>
          <t>=IF(ROUND(CSR*OnP/ProdP,0)=0,1,ROUND(CSR*OnP/ProdP,0))</t>
        </r>
      </text>
    </comment>
  </commentList>
</comments>
</file>

<file path=xl/sharedStrings.xml><?xml version="1.0" encoding="utf-8"?>
<sst xmlns="http://schemas.openxmlformats.org/spreadsheetml/2006/main" count="148" uniqueCount="108">
  <si>
    <t>Developers</t>
  </si>
  <si>
    <t>Testers</t>
  </si>
  <si>
    <t>Project managers</t>
  </si>
  <si>
    <t>Team leaders</t>
  </si>
  <si>
    <t>Customer service reps</t>
  </si>
  <si>
    <t>Numbers of</t>
  </si>
  <si>
    <t>Average salary</t>
  </si>
  <si>
    <t>Current Staffing</t>
  </si>
  <si>
    <t>Annual</t>
  </si>
  <si>
    <t>Representative hourly rate</t>
  </si>
  <si>
    <t>8.5 hours/day, 48 work weeks/year /person</t>
  </si>
  <si>
    <t>Monthly</t>
  </si>
  <si>
    <t>Work Station</t>
  </si>
  <si>
    <t>►Desktop internal support</t>
  </si>
  <si>
    <t>►Desktop productivity suite</t>
  </si>
  <si>
    <t>►PDA/Phone</t>
  </si>
  <si>
    <t>Developer/Tester Add-Ons</t>
  </si>
  <si>
    <t>►Toolset licensing (annual)</t>
  </si>
  <si>
    <t>►VPN Remote Access</t>
  </si>
  <si>
    <t>Annualized</t>
  </si>
  <si>
    <t>PRODUCTIVITY COSTS</t>
  </si>
  <si>
    <t>►ODC &lt;-&gt; Pearson connection</t>
  </si>
  <si>
    <t>Outsourcing Reductions</t>
  </si>
  <si>
    <t>Outsourcing Increases</t>
  </si>
  <si>
    <t>Y</t>
  </si>
  <si>
    <t>N</t>
  </si>
  <si>
    <t>►Desktop hardware</t>
  </si>
  <si>
    <t>Split</t>
  </si>
  <si>
    <t>Monthly
(per staff)</t>
  </si>
  <si>
    <t>Add-Ons</t>
  </si>
  <si>
    <t>►Network H/W, S/W, support</t>
  </si>
  <si>
    <t>Annual costs</t>
  </si>
  <si>
    <t>Before:</t>
  </si>
  <si>
    <t>After:</t>
  </si>
  <si>
    <t>TOTALS</t>
  </si>
  <si>
    <t>Year 1</t>
  </si>
  <si>
    <t>Year 2</t>
  </si>
  <si>
    <t>Year 3</t>
  </si>
  <si>
    <t>Before</t>
  </si>
  <si>
    <t>After</t>
  </si>
  <si>
    <t>TOTAL</t>
  </si>
  <si>
    <t>Annual (per staff)</t>
  </si>
  <si>
    <t>Simple ROI</t>
  </si>
  <si>
    <t>►Development server H/W</t>
  </si>
  <si>
    <t>►Development server S/W</t>
  </si>
  <si>
    <t>►UAT server H/W</t>
  </si>
  <si>
    <t>►UAT server S/W</t>
  </si>
  <si>
    <t>►Staging server H/W</t>
  </si>
  <si>
    <t>►Staging server S/W</t>
  </si>
  <si>
    <t>annual</t>
  </si>
  <si>
    <t>maintenance</t>
  </si>
  <si>
    <t xml:space="preserve">Offshore %-AGE, 80% </t>
  </si>
  <si>
    <t>Offshore</t>
  </si>
  <si>
    <t>On-site</t>
  </si>
  <si>
    <t>Numbers of @ on/off, productivity ratios</t>
  </si>
  <si>
    <t>Representative Onshore Equivalents (rounded)</t>
  </si>
  <si>
    <t>Representative Offshore Equivalents (rounded)</t>
  </si>
  <si>
    <t>Assumed by Vendor (offsite)?
(Y / N / Split)</t>
  </si>
  <si>
    <t>Residual Cost (@ Vendor staff onshore count if not 50/50 Split)</t>
  </si>
  <si>
    <t>depreciation,</t>
  </si>
  <si>
    <t>support, no</t>
  </si>
  <si>
    <t>per staff</t>
  </si>
  <si>
    <t>prorating</t>
  </si>
  <si>
    <t>Annual savings</t>
  </si>
  <si>
    <t>Savings over 3 years</t>
  </si>
  <si>
    <t>3 Year (Simple) ROI</t>
  </si>
  <si>
    <t>PLEASE NOTE: This worksheet is for initial estimation at the start of a potential Supplier engagement</t>
  </si>
  <si>
    <t>and is not a substitute for the full financial analysis to be completed as part of business justification.</t>
  </si>
  <si>
    <t>Savings over 5 years</t>
  </si>
  <si>
    <t>Savings</t>
  </si>
  <si>
    <t>Replace with</t>
  </si>
  <si>
    <t>if available</t>
  </si>
  <si>
    <t>(columns B,C)</t>
  </si>
  <si>
    <t>relationship</t>
  </si>
  <si>
    <t>actual dollars for</t>
  </si>
  <si>
    <t xml:space="preserve">a current </t>
  </si>
  <si>
    <t>counts and rates</t>
  </si>
  <si>
    <t>proposed staffing</t>
  </si>
  <si>
    <t>8 hours/day, 48 work weeks/year /person</t>
  </si>
  <si>
    <t>(Not accounting for minimum 1 PM per location)</t>
  </si>
  <si>
    <t>enter smaller # or 0</t>
  </si>
  <si>
    <t>To "transfer" offshore</t>
  </si>
  <si>
    <t>To "transfer" more</t>
  </si>
  <si>
    <t>offshore enter smaller</t>
  </si>
  <si>
    <t># or 0 for onshore staff</t>
  </si>
  <si>
    <t>return</t>
  </si>
  <si>
    <t>On-site visits
 are essential</t>
  </si>
  <si>
    <t>►Voice + Voicemail</t>
  </si>
  <si>
    <t>* Decrease Year 1 for KT, enter months at right, recommend 3 months minimum:</t>
  </si>
  <si>
    <t>Staffing costs</t>
  </si>
  <si>
    <t>"enter/update data in these cells"</t>
  </si>
  <si>
    <t>ZERO STAFF SUM FOR INCREMENTAL►</t>
  </si>
  <si>
    <t>◄Replace with</t>
  </si>
  <si>
    <t>Total Annual</t>
  </si>
  <si>
    <r>
      <t>Customer service reps</t>
    </r>
    <r>
      <rPr>
        <b/>
        <sz val="12"/>
        <rFont val="Calibri"/>
        <family val="2"/>
        <scheme val="minor"/>
      </rPr>
      <t xml:space="preserve"> = 0% Onshore</t>
    </r>
  </si>
  <si>
    <r>
      <t>Customer service reps</t>
    </r>
    <r>
      <rPr>
        <b/>
        <sz val="12"/>
        <rFont val="Calibri"/>
        <family val="2"/>
        <scheme val="minor"/>
      </rPr>
      <t xml:space="preserve"> = 100% Offshore</t>
    </r>
  </si>
  <si>
    <r>
      <t xml:space="preserve">►Occupancy </t>
    </r>
    <r>
      <rPr>
        <sz val="12"/>
        <color indexed="10"/>
        <rFont val="Calibri"/>
        <family val="2"/>
        <scheme val="minor"/>
      </rPr>
      <t>(</t>
    </r>
    <r>
      <rPr>
        <u/>
        <sz val="12"/>
        <color indexed="10"/>
        <rFont val="Calibri"/>
        <family val="2"/>
        <scheme val="minor"/>
      </rPr>
      <t>zero save</t>
    </r>
    <r>
      <rPr>
        <sz val="12"/>
        <color indexed="10"/>
        <rFont val="Calibri"/>
        <family val="2"/>
        <scheme val="minor"/>
      </rPr>
      <t xml:space="preserve">  unless another area reuses)</t>
    </r>
  </si>
  <si>
    <r>
      <t xml:space="preserve">►On-site inspection (if not existing relationship),
</t>
    </r>
    <r>
      <rPr>
        <sz val="12"/>
        <color indexed="9"/>
        <rFont val="Calibri"/>
        <family val="2"/>
        <scheme val="minor"/>
      </rPr>
      <t>►</t>
    </r>
    <r>
      <rPr>
        <i/>
        <sz val="12"/>
        <rFont val="Calibri"/>
        <family val="2"/>
        <scheme val="minor"/>
      </rPr>
      <t>2 trips annually @ $12K ea.</t>
    </r>
  </si>
  <si>
    <t>Model filled in with sample data</t>
  </si>
  <si>
    <t>Anticipated productivity versus FTE</t>
  </si>
  <si>
    <t>Enter uplift for the below…</t>
  </si>
  <si>
    <t>►Email (incl. client domain acct.)</t>
  </si>
  <si>
    <t>@ Client staff count</t>
  </si>
  <si>
    <t>Annualized (@ Client staff count)</t>
  </si>
  <si>
    <t>Assumed by Supplier (offsite)?
(Y / N / Split)</t>
  </si>
  <si>
    <t>Residual Cost (@ Supplier staff onshore count if not 50/50 Split)</t>
  </si>
  <si>
    <t>Client Cost</t>
  </si>
  <si>
    <t>Assumed by Supplier?
(Y / N / Split)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</si>
</sst>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13" x14ac:knownFonts="1">
    <font>
      <sz val="10"/>
      <name val="Arial"/>
    </font>
    <font>
      <sz val="8"/>
      <name val="Arial"/>
      <family val="2"/>
    </font>
    <font>
      <sz val="10"/>
      <color indexed="81"/>
      <name val="Tahoma"/>
      <family val="2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sz val="12"/>
      <color indexed="10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2"/>
      <color indexed="10"/>
      <name val="Calibri"/>
      <family val="2"/>
      <scheme val="minor"/>
    </font>
    <font>
      <sz val="12"/>
      <color indexed="9"/>
      <name val="Calibri"/>
      <family val="2"/>
      <scheme val="minor"/>
    </font>
    <font>
      <b/>
      <i/>
      <sz val="12"/>
      <name val="Calibri"/>
      <family val="2"/>
      <scheme val="minor"/>
    </font>
    <font>
      <i/>
      <sz val="12"/>
      <color indexed="1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1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/>
      <right style="thin">
        <color indexed="55"/>
      </right>
      <top style="medium">
        <color indexed="64"/>
      </top>
      <bottom/>
      <diagonal/>
    </border>
    <border>
      <left style="thin">
        <color indexed="55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3" fillId="9" borderId="0" xfId="0" applyFont="1" applyFill="1" applyBorder="1"/>
    <xf numFmtId="0" fontId="4" fillId="0" borderId="2" xfId="0" applyFont="1" applyFill="1" applyBorder="1" applyAlignment="1">
      <alignment wrapText="1"/>
    </xf>
    <xf numFmtId="0" fontId="4" fillId="10" borderId="1" xfId="0" applyFont="1" applyFill="1" applyBorder="1" applyAlignment="1">
      <alignment horizontal="center" wrapText="1"/>
    </xf>
    <xf numFmtId="0" fontId="5" fillId="0" borderId="0" xfId="0" applyFont="1"/>
    <xf numFmtId="0" fontId="5" fillId="11" borderId="3" xfId="0" applyFont="1" applyFill="1" applyBorder="1"/>
    <xf numFmtId="42" fontId="5" fillId="11" borderId="3" xfId="0" applyNumberFormat="1" applyFont="1" applyFill="1" applyBorder="1"/>
    <xf numFmtId="42" fontId="5" fillId="0" borderId="0" xfId="0" applyNumberFormat="1" applyFont="1"/>
    <xf numFmtId="0" fontId="5" fillId="11" borderId="1" xfId="0" applyFont="1" applyFill="1" applyBorder="1"/>
    <xf numFmtId="42" fontId="5" fillId="11" borderId="1" xfId="0" applyNumberFormat="1" applyFont="1" applyFill="1" applyBorder="1"/>
    <xf numFmtId="0" fontId="5" fillId="11" borderId="5" xfId="0" applyFont="1" applyFill="1" applyBorder="1"/>
    <xf numFmtId="0" fontId="4" fillId="0" borderId="0" xfId="0" applyFont="1" applyAlignment="1">
      <alignment horizontal="right"/>
    </xf>
    <xf numFmtId="0" fontId="5" fillId="0" borderId="6" xfId="0" applyFont="1" applyFill="1" applyBorder="1"/>
    <xf numFmtId="42" fontId="5" fillId="4" borderId="22" xfId="0" applyNumberFormat="1" applyFont="1" applyFill="1" applyBorder="1"/>
    <xf numFmtId="42" fontId="5" fillId="4" borderId="23" xfId="0" applyNumberFormat="1" applyFont="1" applyFill="1" applyBorder="1"/>
    <xf numFmtId="0" fontId="4" fillId="0" borderId="0" xfId="0" applyFont="1" applyAlignment="1">
      <alignment wrapText="1"/>
    </xf>
    <xf numFmtId="42" fontId="5" fillId="4" borderId="4" xfId="0" applyNumberFormat="1" applyFont="1" applyFill="1" applyBorder="1"/>
    <xf numFmtId="0" fontId="5" fillId="3" borderId="0" xfId="0" applyFont="1" applyFill="1"/>
    <xf numFmtId="9" fontId="5" fillId="0" borderId="1" xfId="0" applyNumberFormat="1" applyFont="1" applyBorder="1"/>
    <xf numFmtId="0" fontId="4" fillId="0" borderId="0" xfId="0" applyFont="1" applyFill="1" applyBorder="1" applyAlignment="1">
      <alignment wrapText="1"/>
    </xf>
    <xf numFmtId="0" fontId="4" fillId="3" borderId="1" xfId="0" quotePrefix="1" applyFont="1" applyFill="1" applyBorder="1" applyAlignment="1">
      <alignment horizontal="center" wrapText="1"/>
    </xf>
    <xf numFmtId="0" fontId="5" fillId="0" borderId="0" xfId="0" applyFont="1" applyFill="1" applyBorder="1"/>
    <xf numFmtId="0" fontId="5" fillId="0" borderId="1" xfId="0" applyFont="1" applyFill="1" applyBorder="1"/>
    <xf numFmtId="44" fontId="5" fillId="0" borderId="0" xfId="0" applyNumberFormat="1" applyFont="1" applyFill="1" applyBorder="1"/>
    <xf numFmtId="0" fontId="5" fillId="3" borderId="0" xfId="0" applyFont="1" applyFill="1" applyBorder="1"/>
    <xf numFmtId="0" fontId="5" fillId="3" borderId="1" xfId="0" applyFont="1" applyFill="1" applyBorder="1"/>
    <xf numFmtId="0" fontId="6" fillId="3" borderId="0" xfId="0" applyFont="1" applyFill="1"/>
    <xf numFmtId="42" fontId="5" fillId="0" borderId="0" xfId="0" applyNumberFormat="1" applyFont="1" applyFill="1" applyBorder="1"/>
    <xf numFmtId="0" fontId="7" fillId="2" borderId="5" xfId="0" applyFont="1" applyFill="1" applyBorder="1"/>
    <xf numFmtId="42" fontId="5" fillId="0" borderId="0" xfId="0" applyNumberFormat="1" applyFont="1" applyBorder="1"/>
    <xf numFmtId="0" fontId="7" fillId="2" borderId="3" xfId="0" applyFont="1" applyFill="1" applyBorder="1" applyAlignment="1">
      <alignment vertical="top"/>
    </xf>
    <xf numFmtId="0" fontId="5" fillId="7" borderId="0" xfId="0" applyFont="1" applyFill="1" applyBorder="1"/>
    <xf numFmtId="0" fontId="5" fillId="7" borderId="1" xfId="0" applyFont="1" applyFill="1" applyBorder="1"/>
    <xf numFmtId="0" fontId="6" fillId="0" borderId="0" xfId="0" applyFont="1" applyFill="1" applyBorder="1"/>
    <xf numFmtId="0" fontId="5" fillId="0" borderId="9" xfId="0" applyFont="1" applyFill="1" applyBorder="1"/>
    <xf numFmtId="0" fontId="7" fillId="2" borderId="13" xfId="0" applyFont="1" applyFill="1" applyBorder="1" applyAlignment="1">
      <alignment vertical="center"/>
    </xf>
    <xf numFmtId="0" fontId="6" fillId="0" borderId="0" xfId="0" applyFont="1" applyFill="1" applyBorder="1" applyAlignment="1">
      <alignment vertical="top"/>
    </xf>
    <xf numFmtId="0" fontId="6" fillId="6" borderId="0" xfId="0" applyFont="1" applyFill="1"/>
    <xf numFmtId="0" fontId="6" fillId="6" borderId="0" xfId="0" applyFont="1" applyFill="1" applyAlignment="1">
      <alignment horizontal="right"/>
    </xf>
    <xf numFmtId="42" fontId="5" fillId="6" borderId="0" xfId="0" applyNumberFormat="1" applyFont="1" applyFill="1"/>
    <xf numFmtId="0" fontId="5" fillId="6" borderId="0" xfId="0" applyFont="1" applyFill="1"/>
    <xf numFmtId="0" fontId="6" fillId="4" borderId="0" xfId="0" applyFont="1" applyFill="1"/>
    <xf numFmtId="0" fontId="5" fillId="4" borderId="0" xfId="0" applyFont="1" applyFill="1"/>
    <xf numFmtId="42" fontId="5" fillId="4" borderId="0" xfId="0" applyNumberFormat="1" applyFont="1" applyFill="1"/>
    <xf numFmtId="0" fontId="6" fillId="4" borderId="4" xfId="0" applyFont="1" applyFill="1" applyBorder="1"/>
    <xf numFmtId="0" fontId="5" fillId="4" borderId="4" xfId="0" applyFont="1" applyFill="1" applyBorder="1"/>
    <xf numFmtId="0" fontId="4" fillId="3" borderId="0" xfId="0" applyFont="1" applyFill="1" applyBorder="1"/>
    <xf numFmtId="0" fontId="8" fillId="9" borderId="0" xfId="0" applyFont="1" applyFill="1" applyBorder="1"/>
    <xf numFmtId="0" fontId="5" fillId="0" borderId="0" xfId="0" applyFont="1" applyBorder="1"/>
    <xf numFmtId="0" fontId="6" fillId="0" borderId="0" xfId="0" applyFont="1"/>
    <xf numFmtId="0" fontId="5" fillId="0" borderId="0" xfId="0" applyFont="1" applyAlignment="1">
      <alignment wrapText="1"/>
    </xf>
    <xf numFmtId="0" fontId="4" fillId="5" borderId="0" xfId="0" applyFont="1" applyFill="1"/>
    <xf numFmtId="0" fontId="5" fillId="5" borderId="0" xfId="0" applyFont="1" applyFill="1"/>
    <xf numFmtId="0" fontId="4" fillId="0" borderId="0" xfId="0" applyFont="1"/>
    <xf numFmtId="44" fontId="5" fillId="2" borderId="1" xfId="0" applyNumberFormat="1" applyFont="1" applyFill="1" applyBorder="1"/>
    <xf numFmtId="44" fontId="5" fillId="0" borderId="0" xfId="0" applyNumberFormat="1" applyFont="1"/>
    <xf numFmtId="0" fontId="5" fillId="2" borderId="1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44" fontId="5" fillId="3" borderId="8" xfId="0" applyNumberFormat="1" applyFont="1" applyFill="1" applyBorder="1"/>
    <xf numFmtId="44" fontId="5" fillId="0" borderId="8" xfId="0" applyNumberFormat="1" applyFont="1" applyBorder="1"/>
    <xf numFmtId="44" fontId="5" fillId="3" borderId="0" xfId="0" applyNumberFormat="1" applyFont="1" applyFill="1" applyBorder="1"/>
    <xf numFmtId="44" fontId="5" fillId="2" borderId="10" xfId="0" applyNumberFormat="1" applyFont="1" applyFill="1" applyBorder="1"/>
    <xf numFmtId="44" fontId="5" fillId="0" borderId="8" xfId="0" applyNumberFormat="1" applyFont="1" applyFill="1" applyBorder="1"/>
    <xf numFmtId="44" fontId="5" fillId="4" borderId="6" xfId="0" applyNumberFormat="1" applyFont="1" applyFill="1" applyBorder="1"/>
    <xf numFmtId="44" fontId="5" fillId="0" borderId="0" xfId="0" applyNumberFormat="1" applyFont="1" applyBorder="1"/>
    <xf numFmtId="0" fontId="5" fillId="0" borderId="0" xfId="0" applyFont="1" applyAlignment="1">
      <alignment vertical="top" wrapText="1"/>
    </xf>
    <xf numFmtId="44" fontId="5" fillId="3" borderId="15" xfId="0" applyNumberFormat="1" applyFont="1" applyFill="1" applyBorder="1" applyAlignment="1">
      <alignment wrapText="1"/>
    </xf>
    <xf numFmtId="0" fontId="5" fillId="3" borderId="1" xfId="0" applyFont="1" applyFill="1" applyBorder="1" applyAlignment="1">
      <alignment horizontal="center"/>
    </xf>
    <xf numFmtId="44" fontId="5" fillId="0" borderId="6" xfId="0" applyNumberFormat="1" applyFont="1" applyBorder="1"/>
    <xf numFmtId="0" fontId="6" fillId="4" borderId="0" xfId="0" applyFont="1" applyFill="1" applyAlignment="1">
      <alignment horizontal="right"/>
    </xf>
    <xf numFmtId="9" fontId="6" fillId="4" borderId="0" xfId="0" applyNumberFormat="1" applyFont="1" applyFill="1" applyAlignment="1">
      <alignment horizontal="left"/>
    </xf>
    <xf numFmtId="0" fontId="6" fillId="4" borderId="11" xfId="0" applyFont="1" applyFill="1" applyBorder="1"/>
    <xf numFmtId="0" fontId="5" fillId="4" borderId="7" xfId="0" applyFont="1" applyFill="1" applyBorder="1"/>
    <xf numFmtId="42" fontId="5" fillId="4" borderId="11" xfId="0" applyNumberFormat="1" applyFont="1" applyFill="1" applyBorder="1"/>
    <xf numFmtId="0" fontId="5" fillId="4" borderId="11" xfId="0" applyFont="1" applyFill="1" applyBorder="1"/>
    <xf numFmtId="0" fontId="6" fillId="4" borderId="7" xfId="0" applyFont="1" applyFill="1" applyBorder="1"/>
    <xf numFmtId="0" fontId="5" fillId="2" borderId="1" xfId="0" applyFont="1" applyFill="1" applyBorder="1"/>
    <xf numFmtId="42" fontId="5" fillId="4" borderId="7" xfId="0" applyNumberFormat="1" applyFont="1" applyFill="1" applyBorder="1"/>
    <xf numFmtId="0" fontId="5" fillId="0" borderId="0" xfId="0" applyFont="1" applyFill="1"/>
    <xf numFmtId="0" fontId="11" fillId="3" borderId="0" xfId="0" applyFont="1" applyFill="1" applyBorder="1"/>
    <xf numFmtId="0" fontId="11" fillId="3" borderId="0" xfId="0" applyFont="1" applyFill="1"/>
    <xf numFmtId="0" fontId="6" fillId="3" borderId="11" xfId="0" applyFont="1" applyFill="1" applyBorder="1"/>
    <xf numFmtId="42" fontId="5" fillId="3" borderId="11" xfId="0" applyNumberFormat="1" applyFont="1" applyFill="1" applyBorder="1"/>
    <xf numFmtId="0" fontId="5" fillId="3" borderId="11" xfId="0" applyFont="1" applyFill="1" applyBorder="1"/>
    <xf numFmtId="0" fontId="6" fillId="3" borderId="12" xfId="0" applyFont="1" applyFill="1" applyBorder="1"/>
    <xf numFmtId="9" fontId="5" fillId="3" borderId="12" xfId="0" applyNumberFormat="1" applyFont="1" applyFill="1" applyBorder="1"/>
    <xf numFmtId="0" fontId="5" fillId="3" borderId="12" xfId="0" applyFont="1" applyFill="1" applyBorder="1"/>
    <xf numFmtId="0" fontId="6" fillId="0" borderId="0" xfId="0" applyFont="1" applyFill="1"/>
    <xf numFmtId="9" fontId="5" fillId="0" borderId="0" xfId="0" applyNumberFormat="1" applyFont="1" applyFill="1" applyBorder="1" applyAlignment="1">
      <alignment horizontal="center"/>
    </xf>
    <xf numFmtId="0" fontId="4" fillId="10" borderId="14" xfId="0" applyFont="1" applyFill="1" applyBorder="1" applyAlignment="1">
      <alignment wrapText="1"/>
    </xf>
    <xf numFmtId="9" fontId="5" fillId="11" borderId="5" xfId="0" applyNumberFormat="1" applyFont="1" applyFill="1" applyBorder="1" applyAlignment="1">
      <alignment horizontal="center"/>
    </xf>
    <xf numFmtId="0" fontId="4" fillId="10" borderId="3" xfId="0" applyFont="1" applyFill="1" applyBorder="1" applyAlignment="1">
      <alignment wrapText="1"/>
    </xf>
    <xf numFmtId="0" fontId="4" fillId="10" borderId="24" xfId="0" applyFont="1" applyFill="1" applyBorder="1" applyAlignment="1">
      <alignment wrapText="1"/>
    </xf>
    <xf numFmtId="9" fontId="5" fillId="11" borderId="1" xfId="0" applyNumberFormat="1" applyFont="1" applyFill="1" applyBorder="1"/>
    <xf numFmtId="0" fontId="12" fillId="8" borderId="16" xfId="0" applyFont="1" applyFill="1" applyBorder="1" applyAlignment="1">
      <alignment horizontal="center"/>
    </xf>
    <xf numFmtId="0" fontId="12" fillId="8" borderId="17" xfId="0" applyFont="1" applyFill="1" applyBorder="1" applyAlignment="1">
      <alignment horizontal="center"/>
    </xf>
    <xf numFmtId="0" fontId="12" fillId="8" borderId="18" xfId="0" applyFont="1" applyFill="1" applyBorder="1" applyAlignment="1">
      <alignment horizontal="center"/>
    </xf>
    <xf numFmtId="0" fontId="12" fillId="8" borderId="19" xfId="0" applyFont="1" applyFill="1" applyBorder="1" applyAlignment="1">
      <alignment horizontal="center"/>
    </xf>
    <xf numFmtId="0" fontId="12" fillId="8" borderId="20" xfId="0" applyFont="1" applyFill="1" applyBorder="1" applyAlignment="1">
      <alignment horizontal="center"/>
    </xf>
    <xf numFmtId="0" fontId="12" fillId="8" borderId="2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9" fontId="5" fillId="11" borderId="14" xfId="0" applyNumberFormat="1" applyFont="1" applyFill="1" applyBorder="1" applyAlignment="1">
      <alignment horizontal="center"/>
    </xf>
    <xf numFmtId="9" fontId="5" fillId="11" borderId="24" xfId="0" applyNumberFormat="1" applyFont="1" applyFill="1" applyBorder="1" applyAlignment="1">
      <alignment horizontal="center"/>
    </xf>
    <xf numFmtId="9" fontId="5" fillId="11" borderId="15" xfId="0" applyNumberFormat="1" applyFont="1" applyFill="1" applyBorder="1" applyAlignment="1">
      <alignment horizontal="center"/>
    </xf>
    <xf numFmtId="0" fontId="5" fillId="0" borderId="25" xfId="0" applyFont="1" applyBorder="1" applyAlignment="1">
      <alignment horizontal="left" indent="1"/>
    </xf>
    <xf numFmtId="0" fontId="5" fillId="0" borderId="26" xfId="0" applyFont="1" applyBorder="1" applyAlignment="1">
      <alignment horizontal="left" indent="1"/>
    </xf>
    <xf numFmtId="0" fontId="4" fillId="0" borderId="0" xfId="0" quotePrefix="1" applyFont="1" applyAlignment="1">
      <alignment wrapText="1"/>
    </xf>
  </cellXfs>
  <cellStyles count="1">
    <cellStyle name="Normal" xfId="0" builtinId="0"/>
  </cellStyles>
  <dxfs count="3">
    <dxf>
      <fill>
        <patternFill>
          <bgColor indexed="31"/>
        </patternFill>
      </fill>
    </dxf>
    <dxf>
      <fill>
        <patternFill patternType="mediumGray">
          <fgColor indexed="9"/>
          <bgColor indexed="52"/>
        </patternFill>
      </fill>
    </dxf>
    <dxf>
      <fill>
        <patternFill patternType="mediumGray">
          <fgColor indexed="9"/>
          <bgColor indexed="5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809625</xdr:colOff>
      <xdr:row>0</xdr:row>
      <xdr:rowOff>417171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53325" cy="4171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F87"/>
  <sheetViews>
    <sheetView tabSelected="1" topLeftCell="A67" workbookViewId="0">
      <selection activeCell="E52" sqref="E52"/>
    </sheetView>
  </sheetViews>
  <sheetFormatPr defaultRowHeight="15.75" x14ac:dyDescent="0.25"/>
  <cols>
    <col min="1" max="1" width="50.5703125" style="4" customWidth="1"/>
    <col min="2" max="5" width="16.85546875" style="4" customWidth="1"/>
    <col min="6" max="6" width="27.140625" style="4" customWidth="1"/>
    <col min="7" max="16384" width="9.140625" style="4"/>
  </cols>
  <sheetData>
    <row r="1" spans="1:6" ht="35.25" customHeight="1" x14ac:dyDescent="0.25">
      <c r="A1" s="101"/>
      <c r="B1" s="101"/>
      <c r="C1" s="101"/>
      <c r="D1" s="101"/>
      <c r="E1" s="101"/>
      <c r="F1" s="101"/>
    </row>
    <row r="2" spans="1:6" s="48" customFormat="1" x14ac:dyDescent="0.25">
      <c r="A2" s="1" t="s">
        <v>89</v>
      </c>
      <c r="B2" s="1"/>
      <c r="C2" s="1"/>
      <c r="D2" s="1"/>
      <c r="E2" s="47"/>
      <c r="F2" s="47"/>
    </row>
    <row r="3" spans="1:6" x14ac:dyDescent="0.25">
      <c r="A3" s="49" t="s">
        <v>98</v>
      </c>
      <c r="B3" s="102" t="s">
        <v>90</v>
      </c>
      <c r="C3" s="103"/>
      <c r="D3" s="103"/>
      <c r="E3" s="103"/>
      <c r="F3" s="104"/>
    </row>
    <row r="4" spans="1:6" x14ac:dyDescent="0.25">
      <c r="A4" s="88"/>
      <c r="B4" s="89"/>
      <c r="C4" s="89"/>
      <c r="D4" s="89"/>
      <c r="E4" s="89"/>
      <c r="F4" s="89"/>
    </row>
    <row r="5" spans="1:6" x14ac:dyDescent="0.25">
      <c r="B5" s="105" t="s">
        <v>100</v>
      </c>
      <c r="C5" s="106"/>
      <c r="D5" s="91">
        <v>0.25</v>
      </c>
      <c r="F5" s="91">
        <v>0.1</v>
      </c>
    </row>
    <row r="6" spans="1:6" s="50" customFormat="1" ht="47.25" x14ac:dyDescent="0.25">
      <c r="A6" s="2" t="s">
        <v>7</v>
      </c>
      <c r="B6" s="3" t="s">
        <v>5</v>
      </c>
      <c r="C6" s="90" t="s">
        <v>6</v>
      </c>
      <c r="D6" s="92" t="str">
        <f>"Including benefits (+"&amp;TEXT(D5,"0%")&amp;")"</f>
        <v>Including benefits (+25%)</v>
      </c>
      <c r="E6" s="93" t="s">
        <v>93</v>
      </c>
      <c r="F6" s="92" t="str">
        <f>"Allocated bonus pool as % of salary (+"&amp;TEXT(F5,"0%")&amp;")"</f>
        <v>Allocated bonus pool as % of salary (+10%)</v>
      </c>
    </row>
    <row r="7" spans="1:6" x14ac:dyDescent="0.25">
      <c r="A7" s="4" t="s">
        <v>2</v>
      </c>
      <c r="B7" s="5">
        <v>2</v>
      </c>
      <c r="C7" s="6">
        <v>90000</v>
      </c>
      <c r="D7" s="7">
        <f>C7*1.26</f>
        <v>113400</v>
      </c>
      <c r="E7" s="7">
        <f>D7*B7</f>
        <v>226800</v>
      </c>
      <c r="F7" s="7">
        <f>E7*15%</f>
        <v>34020</v>
      </c>
    </row>
    <row r="8" spans="1:6" x14ac:dyDescent="0.25">
      <c r="A8" s="4" t="s">
        <v>3</v>
      </c>
      <c r="B8" s="8">
        <v>6</v>
      </c>
      <c r="C8" s="9">
        <v>80000</v>
      </c>
      <c r="D8" s="7">
        <f>C8*1.26</f>
        <v>100800</v>
      </c>
      <c r="E8" s="7">
        <f>D8*B8</f>
        <v>604800</v>
      </c>
      <c r="F8" s="7">
        <f>E8*10%</f>
        <v>60480</v>
      </c>
    </row>
    <row r="9" spans="1:6" x14ac:dyDescent="0.25">
      <c r="A9" s="4" t="s">
        <v>0</v>
      </c>
      <c r="B9" s="8">
        <v>30</v>
      </c>
      <c r="C9" s="9">
        <v>70000</v>
      </c>
      <c r="D9" s="7">
        <f>C9*1.26</f>
        <v>88200</v>
      </c>
      <c r="E9" s="7">
        <f>D9*B9</f>
        <v>2646000</v>
      </c>
      <c r="F9" s="7">
        <f>E9*5%</f>
        <v>132300</v>
      </c>
    </row>
    <row r="10" spans="1:6" x14ac:dyDescent="0.25">
      <c r="A10" s="4" t="s">
        <v>1</v>
      </c>
      <c r="B10" s="8">
        <v>20</v>
      </c>
      <c r="C10" s="9">
        <v>65000</v>
      </c>
      <c r="D10" s="7">
        <f>C10*1.26</f>
        <v>81900</v>
      </c>
      <c r="E10" s="7">
        <f>D10*B10</f>
        <v>1638000</v>
      </c>
      <c r="F10" s="7">
        <f>E10*5%</f>
        <v>81900</v>
      </c>
    </row>
    <row r="11" spans="1:6" ht="16.5" thickBot="1" x14ac:dyDescent="0.3">
      <c r="A11" s="4" t="s">
        <v>4</v>
      </c>
      <c r="B11" s="10">
        <v>5</v>
      </c>
      <c r="C11" s="9">
        <v>45000</v>
      </c>
      <c r="D11" s="7">
        <f>C11*1.26</f>
        <v>56700</v>
      </c>
      <c r="E11" s="7">
        <f>D11*B11</f>
        <v>283500</v>
      </c>
      <c r="F11" s="7">
        <f>E11*5%</f>
        <v>14175</v>
      </c>
    </row>
    <row r="12" spans="1:6" ht="17.25" thickTop="1" thickBot="1" x14ac:dyDescent="0.3">
      <c r="A12" s="11" t="s">
        <v>91</v>
      </c>
      <c r="B12" s="12">
        <f>SUM(B7:B11)</f>
        <v>63</v>
      </c>
      <c r="C12" s="7"/>
      <c r="D12" s="7"/>
      <c r="E12" s="13">
        <f>SUM(E7:E11)</f>
        <v>5399100</v>
      </c>
      <c r="F12" s="14">
        <f>SUM(F7:F11)</f>
        <v>322875</v>
      </c>
    </row>
    <row r="13" spans="1:6" x14ac:dyDescent="0.25">
      <c r="B13" s="3" t="s">
        <v>52</v>
      </c>
      <c r="C13" s="3" t="s">
        <v>53</v>
      </c>
      <c r="E13" s="16">
        <f>SUM(E12:F12)</f>
        <v>5721975</v>
      </c>
      <c r="F13" s="17" t="s">
        <v>92</v>
      </c>
    </row>
    <row r="14" spans="1:6" x14ac:dyDescent="0.25">
      <c r="A14" s="2" t="s">
        <v>51</v>
      </c>
      <c r="B14" s="94">
        <v>0.8</v>
      </c>
      <c r="C14" s="18">
        <f>1-B14</f>
        <v>0.19999999999999996</v>
      </c>
      <c r="F14" s="17" t="s">
        <v>74</v>
      </c>
    </row>
    <row r="15" spans="1:6" x14ac:dyDescent="0.25">
      <c r="A15" s="19" t="s">
        <v>99</v>
      </c>
      <c r="B15" s="94">
        <v>0.8</v>
      </c>
      <c r="F15" s="17" t="s">
        <v>75</v>
      </c>
    </row>
    <row r="16" spans="1:6" x14ac:dyDescent="0.25">
      <c r="F16" s="17" t="s">
        <v>73</v>
      </c>
    </row>
    <row r="17" spans="1:6" ht="63" x14ac:dyDescent="0.25">
      <c r="A17" s="19" t="s">
        <v>55</v>
      </c>
      <c r="B17" s="20" t="s">
        <v>54</v>
      </c>
      <c r="C17" s="15" t="s">
        <v>9</v>
      </c>
      <c r="D17" s="15" t="s">
        <v>78</v>
      </c>
      <c r="E17" s="15" t="s">
        <v>8</v>
      </c>
    </row>
    <row r="18" spans="1:6" x14ac:dyDescent="0.25">
      <c r="A18" s="21" t="s">
        <v>2</v>
      </c>
      <c r="B18" s="22">
        <f>IF(ROUND(PM*OnP/ProdP,0)=0,1,ROUND(PM*OnP/ProdP,0))</f>
        <v>1</v>
      </c>
      <c r="C18" s="23">
        <v>80</v>
      </c>
      <c r="D18" s="7">
        <f>C18*8*5*48</f>
        <v>153600</v>
      </c>
      <c r="E18" s="7">
        <f>D18*B18</f>
        <v>153600</v>
      </c>
      <c r="F18" s="17" t="s">
        <v>70</v>
      </c>
    </row>
    <row r="19" spans="1:6" x14ac:dyDescent="0.25">
      <c r="A19" s="21" t="s">
        <v>3</v>
      </c>
      <c r="B19" s="22">
        <f>IF(ROUND(TL*OnP/ProdP,0)=0,1,ROUND(TL*OnP/ProdP,0))</f>
        <v>2</v>
      </c>
      <c r="C19" s="23">
        <v>73</v>
      </c>
      <c r="D19" s="7">
        <f>C19*8*5*48</f>
        <v>140160</v>
      </c>
      <c r="E19" s="7">
        <f>D19*B19</f>
        <v>280320</v>
      </c>
      <c r="F19" s="17" t="s">
        <v>77</v>
      </c>
    </row>
    <row r="20" spans="1:6" x14ac:dyDescent="0.25">
      <c r="A20" s="21" t="s">
        <v>0</v>
      </c>
      <c r="B20" s="22">
        <f>IF(ROUND(DEV*OnP/ProdP,0)=0,1,ROUND(DEV*OnP/ProdP,0))</f>
        <v>8</v>
      </c>
      <c r="C20" s="23">
        <v>66</v>
      </c>
      <c r="D20" s="7">
        <f>C20*8*5*48</f>
        <v>126720</v>
      </c>
      <c r="E20" s="7">
        <f>D20*B20</f>
        <v>1013760</v>
      </c>
      <c r="F20" s="17" t="s">
        <v>76</v>
      </c>
    </row>
    <row r="21" spans="1:6" x14ac:dyDescent="0.25">
      <c r="A21" s="21" t="s">
        <v>1</v>
      </c>
      <c r="B21" s="22">
        <f>IF(ROUND(TST*OnP/ProdP,0)=0,1,ROUND(TST*OnP/ProdP,0))</f>
        <v>5</v>
      </c>
      <c r="C21" s="23">
        <v>60</v>
      </c>
      <c r="D21" s="7">
        <f>C21*8*5*48</f>
        <v>115200</v>
      </c>
      <c r="E21" s="7">
        <f>D21*B21</f>
        <v>576000</v>
      </c>
      <c r="F21" s="17" t="s">
        <v>71</v>
      </c>
    </row>
    <row r="22" spans="1:6" ht="16.5" thickBot="1" x14ac:dyDescent="0.3">
      <c r="A22" s="24" t="s">
        <v>94</v>
      </c>
      <c r="B22" s="25">
        <v>0</v>
      </c>
      <c r="C22" s="23">
        <v>0</v>
      </c>
      <c r="D22" s="7">
        <f>C22*8*5*48</f>
        <v>0</v>
      </c>
      <c r="E22" s="7">
        <f>D22*B22</f>
        <v>0</v>
      </c>
      <c r="F22" s="26" t="s">
        <v>72</v>
      </c>
    </row>
    <row r="23" spans="1:6" ht="16.5" thickTop="1" x14ac:dyDescent="0.25">
      <c r="A23" s="21"/>
      <c r="B23" s="12">
        <f>SUM(B18:B22)</f>
        <v>16</v>
      </c>
      <c r="C23" s="27"/>
      <c r="D23" s="7"/>
      <c r="E23" s="16">
        <f>SUM(E18:E22)</f>
        <v>2023680</v>
      </c>
      <c r="F23" s="28" t="s">
        <v>81</v>
      </c>
    </row>
    <row r="24" spans="1:6" x14ac:dyDescent="0.25">
      <c r="A24" s="21"/>
      <c r="B24" s="21"/>
      <c r="C24" s="27"/>
      <c r="D24" s="7"/>
      <c r="E24" s="29"/>
      <c r="F24" s="30" t="s">
        <v>80</v>
      </c>
    </row>
    <row r="25" spans="1:6" ht="78.75" x14ac:dyDescent="0.25">
      <c r="A25" s="19" t="s">
        <v>56</v>
      </c>
      <c r="B25" s="20" t="s">
        <v>54</v>
      </c>
      <c r="C25" s="15" t="s">
        <v>9</v>
      </c>
      <c r="D25" s="15" t="s">
        <v>10</v>
      </c>
      <c r="E25" s="15" t="s">
        <v>8</v>
      </c>
    </row>
    <row r="26" spans="1:6" x14ac:dyDescent="0.25">
      <c r="A26" s="21" t="s">
        <v>2</v>
      </c>
      <c r="B26" s="22">
        <f>ROUND(PM/ProdP,0)-B18</f>
        <v>2</v>
      </c>
      <c r="C26" s="23">
        <v>30</v>
      </c>
      <c r="D26" s="7">
        <f>C26*8.5*5*48</f>
        <v>61200</v>
      </c>
      <c r="E26" s="7">
        <f>D26*B26</f>
        <v>122400</v>
      </c>
      <c r="F26" s="17" t="s">
        <v>70</v>
      </c>
    </row>
    <row r="27" spans="1:6" x14ac:dyDescent="0.25">
      <c r="A27" s="21" t="s">
        <v>3</v>
      </c>
      <c r="B27" s="22">
        <f>ROUND(TL/ProdP,0)-B19</f>
        <v>6</v>
      </c>
      <c r="C27" s="23">
        <v>27</v>
      </c>
      <c r="D27" s="7">
        <f>C27*8.5*5*48</f>
        <v>55080</v>
      </c>
      <c r="E27" s="7">
        <f>D27*B27</f>
        <v>330480</v>
      </c>
      <c r="F27" s="17" t="s">
        <v>77</v>
      </c>
    </row>
    <row r="28" spans="1:6" x14ac:dyDescent="0.25">
      <c r="A28" s="21" t="s">
        <v>0</v>
      </c>
      <c r="B28" s="22">
        <f>ROUND(DEV/ProdP,0)-B20</f>
        <v>30</v>
      </c>
      <c r="C28" s="23">
        <v>24</v>
      </c>
      <c r="D28" s="7">
        <f>C28*8.5*5*48</f>
        <v>48960</v>
      </c>
      <c r="E28" s="7">
        <f>D28*B28</f>
        <v>1468800</v>
      </c>
      <c r="F28" s="17" t="s">
        <v>76</v>
      </c>
    </row>
    <row r="29" spans="1:6" x14ac:dyDescent="0.25">
      <c r="A29" s="21" t="s">
        <v>1</v>
      </c>
      <c r="B29" s="22">
        <f>ROUND(TST/ProdP,0)-B21</f>
        <v>20</v>
      </c>
      <c r="C29" s="23">
        <v>20</v>
      </c>
      <c r="D29" s="7">
        <f>C29*8.5*5*48</f>
        <v>40800</v>
      </c>
      <c r="E29" s="7">
        <f>D29*B29</f>
        <v>816000</v>
      </c>
      <c r="F29" s="17" t="s">
        <v>71</v>
      </c>
    </row>
    <row r="30" spans="1:6" ht="16.5" thickBot="1" x14ac:dyDescent="0.3">
      <c r="A30" s="31" t="s">
        <v>95</v>
      </c>
      <c r="B30" s="32">
        <f>IF(ROUND(CSR/ProdP,0)=0,1,ROUND(CSR/ProdP,0))</f>
        <v>6</v>
      </c>
      <c r="C30" s="23">
        <v>16</v>
      </c>
      <c r="D30" s="7">
        <f>C30*8.5*5*48</f>
        <v>32640</v>
      </c>
      <c r="E30" s="7">
        <f>D30*B30</f>
        <v>195840</v>
      </c>
      <c r="F30" s="26" t="s">
        <v>72</v>
      </c>
    </row>
    <row r="31" spans="1:6" ht="17.25" thickTop="1" thickBot="1" x14ac:dyDescent="0.3">
      <c r="A31" s="21"/>
      <c r="B31" s="12">
        <f>SUM(B26:B30)</f>
        <v>64</v>
      </c>
      <c r="C31" s="27"/>
      <c r="D31" s="7"/>
      <c r="E31" s="16">
        <f>SUM(E26:E30)</f>
        <v>2933520</v>
      </c>
      <c r="F31" s="28" t="s">
        <v>82</v>
      </c>
    </row>
    <row r="32" spans="1:6" ht="16.5" thickTop="1" x14ac:dyDescent="0.25">
      <c r="A32" s="33" t="str">
        <f>"Overall projected team size is " &amp; TEXT(Staff/ProdP,"0")</f>
        <v>Overall projected team size is 79</v>
      </c>
      <c r="B32" s="34">
        <f>SUM(B23,B31)</f>
        <v>80</v>
      </c>
      <c r="C32" s="27"/>
      <c r="D32" s="7"/>
      <c r="E32" s="27"/>
      <c r="F32" s="35" t="s">
        <v>83</v>
      </c>
    </row>
    <row r="33" spans="1:6" ht="18" customHeight="1" x14ac:dyDescent="0.25">
      <c r="A33" s="36" t="s">
        <v>79</v>
      </c>
      <c r="B33" s="21"/>
      <c r="C33" s="27"/>
      <c r="D33" s="7"/>
      <c r="E33" s="29"/>
      <c r="F33" s="30" t="s">
        <v>84</v>
      </c>
    </row>
    <row r="34" spans="1:6" x14ac:dyDescent="0.25">
      <c r="A34" s="37" t="s">
        <v>31</v>
      </c>
      <c r="B34" s="38" t="s">
        <v>32</v>
      </c>
      <c r="C34" s="39">
        <f>StaffDol</f>
        <v>5399100</v>
      </c>
      <c r="D34" s="38" t="s">
        <v>33</v>
      </c>
      <c r="E34" s="39">
        <f>OnStaffDol + OffStaffDol</f>
        <v>4957200</v>
      </c>
      <c r="F34" s="40"/>
    </row>
    <row r="35" spans="1:6" ht="16.5" thickBot="1" x14ac:dyDescent="0.3">
      <c r="A35" s="41" t="s">
        <v>63</v>
      </c>
      <c r="B35" s="42"/>
      <c r="C35" s="42"/>
      <c r="D35" s="42"/>
      <c r="E35" s="43">
        <f>(E12-E23-E31)</f>
        <v>441900</v>
      </c>
      <c r="F35" s="42"/>
    </row>
    <row r="36" spans="1:6" x14ac:dyDescent="0.25">
      <c r="A36" s="44" t="s">
        <v>64</v>
      </c>
      <c r="B36" s="45"/>
      <c r="C36" s="45"/>
      <c r="D36" s="45"/>
      <c r="E36" s="16">
        <f>E35*3</f>
        <v>1325700</v>
      </c>
      <c r="F36" s="45"/>
    </row>
    <row r="38" spans="1:6" s="48" customFormat="1" x14ac:dyDescent="0.25">
      <c r="A38" s="46" t="s">
        <v>20</v>
      </c>
      <c r="B38" s="46"/>
      <c r="C38" s="46"/>
      <c r="D38" s="46"/>
      <c r="E38" s="24"/>
      <c r="F38" s="24"/>
    </row>
    <row r="40" spans="1:6" x14ac:dyDescent="0.25">
      <c r="A40" s="51" t="s">
        <v>22</v>
      </c>
      <c r="B40" s="52"/>
      <c r="C40" s="52"/>
      <c r="D40" s="52"/>
      <c r="E40" s="52"/>
      <c r="F40" s="52"/>
    </row>
    <row r="41" spans="1:6" ht="94.5" x14ac:dyDescent="0.25">
      <c r="A41" s="53" t="s">
        <v>12</v>
      </c>
      <c r="B41" s="15" t="s">
        <v>28</v>
      </c>
      <c r="C41" s="15" t="s">
        <v>103</v>
      </c>
      <c r="D41" s="15" t="s">
        <v>57</v>
      </c>
      <c r="E41" s="15" t="s">
        <v>58</v>
      </c>
    </row>
    <row r="42" spans="1:6" x14ac:dyDescent="0.25">
      <c r="A42" s="4" t="s">
        <v>26</v>
      </c>
      <c r="B42" s="54">
        <v>55</v>
      </c>
      <c r="C42" s="55">
        <f t="shared" ref="C42:C49" si="0">B42*Staff*12</f>
        <v>41580</v>
      </c>
      <c r="D42" s="56" t="s">
        <v>24</v>
      </c>
      <c r="E42" s="55">
        <f t="shared" ref="E42:E49" si="1">IF(D42="n",B42*OutStaff*12,0)+IF(D42="SPLIT",B42*OutStaff*12/2,OnStaff*B42*12)</f>
        <v>10560</v>
      </c>
    </row>
    <row r="43" spans="1:6" x14ac:dyDescent="0.25">
      <c r="A43" s="4" t="s">
        <v>13</v>
      </c>
      <c r="B43" s="54">
        <v>60</v>
      </c>
      <c r="C43" s="55">
        <f t="shared" si="0"/>
        <v>45360</v>
      </c>
      <c r="D43" s="56" t="s">
        <v>24</v>
      </c>
      <c r="E43" s="55">
        <f t="shared" si="1"/>
        <v>11520</v>
      </c>
    </row>
    <row r="44" spans="1:6" x14ac:dyDescent="0.25">
      <c r="A44" s="4" t="s">
        <v>14</v>
      </c>
      <c r="B44" s="54">
        <v>30</v>
      </c>
      <c r="C44" s="55">
        <f t="shared" si="0"/>
        <v>22680</v>
      </c>
      <c r="D44" s="56" t="s">
        <v>24</v>
      </c>
      <c r="E44" s="55">
        <f t="shared" si="1"/>
        <v>5760</v>
      </c>
    </row>
    <row r="45" spans="1:6" x14ac:dyDescent="0.25">
      <c r="A45" s="4" t="s">
        <v>96</v>
      </c>
      <c r="B45" s="54">
        <v>100</v>
      </c>
      <c r="C45" s="55">
        <f t="shared" si="0"/>
        <v>75600</v>
      </c>
      <c r="D45" s="56" t="s">
        <v>24</v>
      </c>
      <c r="E45" s="55">
        <f t="shared" si="1"/>
        <v>19200</v>
      </c>
    </row>
    <row r="46" spans="1:6" x14ac:dyDescent="0.25">
      <c r="A46" s="4" t="s">
        <v>87</v>
      </c>
      <c r="B46" s="54">
        <v>45</v>
      </c>
      <c r="C46" s="55">
        <f t="shared" si="0"/>
        <v>34020</v>
      </c>
      <c r="D46" s="56" t="s">
        <v>24</v>
      </c>
      <c r="E46" s="55">
        <f t="shared" si="1"/>
        <v>8640</v>
      </c>
    </row>
    <row r="47" spans="1:6" x14ac:dyDescent="0.25">
      <c r="A47" s="4" t="s">
        <v>101</v>
      </c>
      <c r="B47" s="54">
        <v>30</v>
      </c>
      <c r="C47" s="55">
        <f t="shared" si="0"/>
        <v>22680</v>
      </c>
      <c r="D47" s="56" t="s">
        <v>25</v>
      </c>
      <c r="E47" s="55">
        <f t="shared" si="1"/>
        <v>34560</v>
      </c>
    </row>
    <row r="48" spans="1:6" x14ac:dyDescent="0.25">
      <c r="A48" s="4" t="s">
        <v>15</v>
      </c>
      <c r="B48" s="54">
        <v>60</v>
      </c>
      <c r="C48" s="55">
        <f t="shared" si="0"/>
        <v>45360</v>
      </c>
      <c r="D48" s="56" t="s">
        <v>24</v>
      </c>
      <c r="E48" s="55">
        <f t="shared" si="1"/>
        <v>11520</v>
      </c>
    </row>
    <row r="49" spans="1:6" x14ac:dyDescent="0.25">
      <c r="A49" s="4" t="s">
        <v>18</v>
      </c>
      <c r="B49" s="54">
        <v>18</v>
      </c>
      <c r="C49" s="55">
        <f t="shared" si="0"/>
        <v>13608</v>
      </c>
      <c r="D49" s="56" t="s">
        <v>25</v>
      </c>
      <c r="E49" s="55">
        <f t="shared" si="1"/>
        <v>20736</v>
      </c>
    </row>
    <row r="50" spans="1:6" x14ac:dyDescent="0.25">
      <c r="B50" s="23"/>
      <c r="C50" s="23"/>
      <c r="D50" s="57"/>
      <c r="E50" s="23"/>
    </row>
    <row r="51" spans="1:6" ht="110.25" x14ac:dyDescent="0.25">
      <c r="A51" s="53" t="s">
        <v>16</v>
      </c>
      <c r="B51" s="15" t="s">
        <v>41</v>
      </c>
      <c r="C51" s="107" t="s">
        <v>102</v>
      </c>
      <c r="D51" s="15" t="s">
        <v>104</v>
      </c>
      <c r="E51" s="15" t="s">
        <v>105</v>
      </c>
    </row>
    <row r="52" spans="1:6" x14ac:dyDescent="0.25">
      <c r="A52" s="4" t="s">
        <v>17</v>
      </c>
      <c r="B52" s="54">
        <v>500</v>
      </c>
      <c r="C52" s="55">
        <f>B52*Staff</f>
        <v>31500</v>
      </c>
      <c r="D52" s="58" t="s">
        <v>24</v>
      </c>
      <c r="E52" s="55">
        <f>IF(D52="n",B52*OutStaff,0)+IF(D52="SPLIT",B52*OutStaff/2,OnStaff*B52)</f>
        <v>8000</v>
      </c>
    </row>
    <row r="53" spans="1:6" x14ac:dyDescent="0.25">
      <c r="A53" s="50" t="s">
        <v>43</v>
      </c>
      <c r="B53" s="59" t="s">
        <v>49</v>
      </c>
      <c r="C53" s="54">
        <v>30000</v>
      </c>
      <c r="D53" s="56" t="s">
        <v>24</v>
      </c>
      <c r="E53" s="60">
        <f t="shared" ref="E53:E58" si="2">IF(D53="n",C53,0)+IF(D53="SPLIT",C53/2,0)</f>
        <v>0</v>
      </c>
    </row>
    <row r="54" spans="1:6" x14ac:dyDescent="0.25">
      <c r="A54" s="50" t="s">
        <v>44</v>
      </c>
      <c r="B54" s="61" t="s">
        <v>59</v>
      </c>
      <c r="C54" s="54">
        <v>60000</v>
      </c>
      <c r="D54" s="56" t="s">
        <v>24</v>
      </c>
      <c r="E54" s="55">
        <f t="shared" si="2"/>
        <v>0</v>
      </c>
    </row>
    <row r="55" spans="1:6" x14ac:dyDescent="0.25">
      <c r="A55" s="50" t="s">
        <v>45</v>
      </c>
      <c r="B55" s="61" t="s">
        <v>50</v>
      </c>
      <c r="C55" s="54">
        <v>30000</v>
      </c>
      <c r="D55" s="56" t="s">
        <v>27</v>
      </c>
      <c r="E55" s="55">
        <f t="shared" si="2"/>
        <v>15000</v>
      </c>
    </row>
    <row r="56" spans="1:6" x14ac:dyDescent="0.25">
      <c r="A56" s="50" t="s">
        <v>46</v>
      </c>
      <c r="B56" s="61" t="s">
        <v>60</v>
      </c>
      <c r="C56" s="54">
        <v>60000</v>
      </c>
      <c r="D56" s="56" t="s">
        <v>27</v>
      </c>
      <c r="E56" s="55">
        <f t="shared" si="2"/>
        <v>30000</v>
      </c>
    </row>
    <row r="57" spans="1:6" x14ac:dyDescent="0.25">
      <c r="A57" s="50" t="s">
        <v>47</v>
      </c>
      <c r="B57" s="61" t="s">
        <v>61</v>
      </c>
      <c r="C57" s="54">
        <v>30000</v>
      </c>
      <c r="D57" s="56" t="s">
        <v>25</v>
      </c>
      <c r="E57" s="55">
        <f t="shared" si="2"/>
        <v>30000</v>
      </c>
    </row>
    <row r="58" spans="1:6" ht="16.5" thickBot="1" x14ac:dyDescent="0.3">
      <c r="A58" s="50" t="s">
        <v>48</v>
      </c>
      <c r="B58" s="61" t="s">
        <v>62</v>
      </c>
      <c r="C58" s="62">
        <v>60000</v>
      </c>
      <c r="D58" s="56" t="s">
        <v>25</v>
      </c>
      <c r="E58" s="55">
        <f t="shared" si="2"/>
        <v>60000</v>
      </c>
    </row>
    <row r="59" spans="1:6" ht="16.5" thickTop="1" x14ac:dyDescent="0.25">
      <c r="A59" s="50"/>
      <c r="B59" s="63"/>
      <c r="C59" s="64">
        <f>SUM(C42:C58)</f>
        <v>602388</v>
      </c>
      <c r="E59" s="64">
        <f>SUM(E42:E58)</f>
        <v>265496</v>
      </c>
    </row>
    <row r="60" spans="1:6" x14ac:dyDescent="0.25">
      <c r="A60" s="50"/>
      <c r="B60" s="23"/>
      <c r="C60" s="65"/>
      <c r="D60" s="21"/>
      <c r="E60" s="48"/>
    </row>
    <row r="61" spans="1:6" x14ac:dyDescent="0.25">
      <c r="A61" s="51" t="s">
        <v>23</v>
      </c>
      <c r="B61" s="52"/>
      <c r="C61" s="52"/>
      <c r="D61" s="52"/>
      <c r="E61" s="52"/>
      <c r="F61" s="52"/>
    </row>
    <row r="62" spans="1:6" ht="63" x14ac:dyDescent="0.25">
      <c r="A62" s="53" t="s">
        <v>29</v>
      </c>
      <c r="B62" s="15" t="s">
        <v>11</v>
      </c>
      <c r="C62" s="15" t="s">
        <v>19</v>
      </c>
      <c r="D62" s="15" t="s">
        <v>107</v>
      </c>
      <c r="E62" s="15" t="s">
        <v>106</v>
      </c>
    </row>
    <row r="63" spans="1:6" ht="35.25" customHeight="1" x14ac:dyDescent="0.25">
      <c r="A63" s="66" t="s">
        <v>97</v>
      </c>
      <c r="B63" s="67" t="s">
        <v>86</v>
      </c>
      <c r="C63" s="55">
        <v>24000</v>
      </c>
      <c r="D63" s="68"/>
      <c r="E63" s="55">
        <f>C63</f>
        <v>24000</v>
      </c>
    </row>
    <row r="64" spans="1:6" x14ac:dyDescent="0.25">
      <c r="A64" s="4" t="s">
        <v>21</v>
      </c>
      <c r="B64" s="23">
        <v>1000</v>
      </c>
      <c r="C64" s="55">
        <f>B64*12</f>
        <v>12000</v>
      </c>
      <c r="D64" s="56" t="s">
        <v>24</v>
      </c>
      <c r="E64" s="55">
        <f>IF(D64="n",C64,0)+IF(D64="SPLIT",C64/2,0)</f>
        <v>0</v>
      </c>
    </row>
    <row r="65" spans="1:6" ht="16.5" thickBot="1" x14ac:dyDescent="0.3">
      <c r="A65" s="4" t="s">
        <v>30</v>
      </c>
      <c r="B65" s="23">
        <v>500</v>
      </c>
      <c r="C65" s="55">
        <f>B65*12</f>
        <v>6000</v>
      </c>
      <c r="D65" s="56" t="s">
        <v>27</v>
      </c>
      <c r="E65" s="55">
        <f>IF(D65="n",C65,0)+IF(D65="SPLIT",C65/2,0)</f>
        <v>3000</v>
      </c>
    </row>
    <row r="66" spans="1:6" ht="16.5" thickTop="1" x14ac:dyDescent="0.25">
      <c r="B66" s="23"/>
      <c r="C66" s="69">
        <f>SUM(C63:C65)</f>
        <v>42000</v>
      </c>
      <c r="E66" s="64">
        <f>SUM(E63:E65)</f>
        <v>27000</v>
      </c>
    </row>
    <row r="68" spans="1:6" x14ac:dyDescent="0.25">
      <c r="A68" s="37" t="s">
        <v>31</v>
      </c>
      <c r="B68" s="38" t="s">
        <v>32</v>
      </c>
      <c r="C68" s="39">
        <f>C59</f>
        <v>602388</v>
      </c>
      <c r="D68" s="38" t="s">
        <v>33</v>
      </c>
      <c r="E68" s="39">
        <f>E59+E66</f>
        <v>292496</v>
      </c>
      <c r="F68" s="40"/>
    </row>
    <row r="69" spans="1:6" ht="16.5" thickBot="1" x14ac:dyDescent="0.3">
      <c r="A69" s="41" t="s">
        <v>63</v>
      </c>
      <c r="B69" s="42"/>
      <c r="C69" s="42"/>
      <c r="D69" s="42"/>
      <c r="E69" s="43">
        <f>C68-E68</f>
        <v>309892</v>
      </c>
      <c r="F69" s="42"/>
    </row>
    <row r="70" spans="1:6" x14ac:dyDescent="0.25">
      <c r="A70" s="44" t="s">
        <v>64</v>
      </c>
      <c r="B70" s="45"/>
      <c r="C70" s="45"/>
      <c r="D70" s="45"/>
      <c r="E70" s="16">
        <f>E69*3</f>
        <v>929676</v>
      </c>
      <c r="F70" s="45"/>
    </row>
    <row r="73" spans="1:6" s="48" customFormat="1" x14ac:dyDescent="0.25">
      <c r="A73" s="46" t="s">
        <v>34</v>
      </c>
      <c r="B73" s="46"/>
      <c r="C73" s="46"/>
      <c r="D73" s="46"/>
      <c r="E73" s="24"/>
      <c r="F73" s="24"/>
    </row>
    <row r="75" spans="1:6" x14ac:dyDescent="0.25">
      <c r="A75" s="37" t="s">
        <v>31</v>
      </c>
      <c r="B75" s="38" t="s">
        <v>32</v>
      </c>
      <c r="C75" s="39">
        <f>C34+C68</f>
        <v>6001488</v>
      </c>
      <c r="D75" s="38" t="s">
        <v>33</v>
      </c>
      <c r="E75" s="39">
        <f>E34+E68</f>
        <v>5249696</v>
      </c>
      <c r="F75" s="40"/>
    </row>
    <row r="76" spans="1:6" ht="16.5" thickBot="1" x14ac:dyDescent="0.3">
      <c r="A76" s="41" t="s">
        <v>63</v>
      </c>
      <c r="B76" s="70"/>
      <c r="C76" s="43"/>
      <c r="D76" s="71" t="str">
        <f>TEXT(E76/C75,"0%") &amp; " save"</f>
        <v>13% save</v>
      </c>
      <c r="E76" s="43">
        <f>C75-E75</f>
        <v>751792</v>
      </c>
      <c r="F76" s="42"/>
    </row>
    <row r="77" spans="1:6" x14ac:dyDescent="0.25">
      <c r="A77" s="44" t="s">
        <v>64</v>
      </c>
      <c r="B77" s="45"/>
      <c r="C77" s="16"/>
      <c r="D77" s="44"/>
      <c r="E77" s="16">
        <f>E76*3</f>
        <v>2255376</v>
      </c>
      <c r="F77" s="45"/>
    </row>
    <row r="78" spans="1:6" x14ac:dyDescent="0.25">
      <c r="A78" s="72" t="s">
        <v>68</v>
      </c>
      <c r="B78" s="73"/>
      <c r="C78" s="74"/>
      <c r="D78" s="75"/>
      <c r="E78" s="74">
        <f>E76*5</f>
        <v>3758960</v>
      </c>
      <c r="F78" s="75"/>
    </row>
    <row r="79" spans="1:6" x14ac:dyDescent="0.25">
      <c r="A79" s="76" t="s">
        <v>88</v>
      </c>
      <c r="B79" s="73"/>
      <c r="C79" s="73"/>
      <c r="D79" s="77">
        <v>3</v>
      </c>
      <c r="E79" s="78">
        <f>-C75*D79/12</f>
        <v>-1500372</v>
      </c>
      <c r="F79" s="73"/>
    </row>
    <row r="80" spans="1:6" s="79" customFormat="1" x14ac:dyDescent="0.25"/>
    <row r="81" spans="1:6" s="79" customFormat="1" x14ac:dyDescent="0.25">
      <c r="A81" s="80" t="s">
        <v>42</v>
      </c>
      <c r="B81" s="81" t="s">
        <v>35</v>
      </c>
      <c r="C81" s="81" t="s">
        <v>36</v>
      </c>
      <c r="D81" s="81" t="s">
        <v>37</v>
      </c>
      <c r="E81" s="81" t="s">
        <v>40</v>
      </c>
      <c r="F81" s="17"/>
    </row>
    <row r="82" spans="1:6" s="79" customFormat="1" x14ac:dyDescent="0.25">
      <c r="A82" s="82" t="s">
        <v>38</v>
      </c>
      <c r="B82" s="83">
        <f>$C$75</f>
        <v>6001488</v>
      </c>
      <c r="C82" s="83">
        <f>$C$75</f>
        <v>6001488</v>
      </c>
      <c r="D82" s="83">
        <f>$C$75</f>
        <v>6001488</v>
      </c>
      <c r="E82" s="83">
        <f>SUM(B82:D82)</f>
        <v>18004464</v>
      </c>
      <c r="F82" s="84"/>
    </row>
    <row r="83" spans="1:6" s="79" customFormat="1" x14ac:dyDescent="0.25">
      <c r="A83" s="82" t="s">
        <v>39</v>
      </c>
      <c r="B83" s="83">
        <f>$E$75-$E$79</f>
        <v>6750068</v>
      </c>
      <c r="C83" s="83">
        <f>$E$75</f>
        <v>5249696</v>
      </c>
      <c r="D83" s="83">
        <f>$E$75</f>
        <v>5249696</v>
      </c>
      <c r="E83" s="83">
        <f>SUM(B83:D83)</f>
        <v>17249460</v>
      </c>
      <c r="F83" s="84"/>
    </row>
    <row r="84" spans="1:6" s="79" customFormat="1" x14ac:dyDescent="0.25">
      <c r="A84" s="82" t="s">
        <v>69</v>
      </c>
      <c r="B84" s="83">
        <f>B82-B83</f>
        <v>-748580</v>
      </c>
      <c r="C84" s="83">
        <f>C82-C83</f>
        <v>751792</v>
      </c>
      <c r="D84" s="83">
        <f>D82-D83</f>
        <v>751792</v>
      </c>
      <c r="E84" s="83">
        <f>SUM(B84:D84)</f>
        <v>755004</v>
      </c>
      <c r="F84" s="84"/>
    </row>
    <row r="85" spans="1:6" s="79" customFormat="1" ht="16.5" thickBot="1" x14ac:dyDescent="0.3">
      <c r="A85" s="85" t="s">
        <v>65</v>
      </c>
      <c r="B85" s="86"/>
      <c r="C85" s="87"/>
      <c r="D85" s="87"/>
      <c r="E85" s="86">
        <f>E84/E82</f>
        <v>4.1934266968458492E-2</v>
      </c>
      <c r="F85" s="87" t="s">
        <v>85</v>
      </c>
    </row>
    <row r="86" spans="1:6" s="79" customFormat="1" x14ac:dyDescent="0.25">
      <c r="A86" s="95" t="s">
        <v>66</v>
      </c>
      <c r="B86" s="96"/>
      <c r="C86" s="96"/>
      <c r="D86" s="96"/>
      <c r="E86" s="96"/>
      <c r="F86" s="97"/>
    </row>
    <row r="87" spans="1:6" s="79" customFormat="1" ht="16.5" thickBot="1" x14ac:dyDescent="0.3">
      <c r="A87" s="98" t="s">
        <v>67</v>
      </c>
      <c r="B87" s="99"/>
      <c r="C87" s="99"/>
      <c r="D87" s="99"/>
      <c r="E87" s="99"/>
      <c r="F87" s="100"/>
    </row>
  </sheetData>
  <mergeCells count="5">
    <mergeCell ref="A86:F86"/>
    <mergeCell ref="A87:F87"/>
    <mergeCell ref="A1:F1"/>
    <mergeCell ref="B3:F3"/>
    <mergeCell ref="B5:C5"/>
  </mergeCells>
  <phoneticPr fontId="1" type="noConversion"/>
  <conditionalFormatting sqref="D52:D58 D63:D65 D42:D50">
    <cfRule type="cellIs" dxfId="2" priority="1" stopIfTrue="1" operator="equal">
      <formula>"Y"</formula>
    </cfRule>
    <cfRule type="cellIs" dxfId="1" priority="2" stopIfTrue="1" operator="equal">
      <formula>"N"</formula>
    </cfRule>
    <cfRule type="cellIs" dxfId="0" priority="3" stopIfTrue="1" operator="equal">
      <formula>"SPLIT"</formula>
    </cfRule>
  </conditionalFormatting>
  <dataValidations count="2">
    <dataValidation type="list" allowBlank="1" showInputMessage="1" showErrorMessage="1" sqref="D52:D58 D42:D50 D64:D65">
      <formula1>"Y,N,Split"</formula1>
    </dataValidation>
    <dataValidation showDropDown="1" showInputMessage="1" showErrorMessage="1" sqref="D63"/>
  </dataValidations>
  <printOptions horizontalCentered="1"/>
  <pageMargins left="0.75" right="0.75" top="1" bottom="0.75" header="0.5" footer="0.5"/>
  <pageSetup scale="87" fitToHeight="0" orientation="portrait" r:id="rId1"/>
  <headerFooter alignWithMargins="0">
    <oddHeader>&amp;C&amp;"Arial,Bold"&amp;12Outsourcing ROI Worksheet</oddHeader>
    <oddFooter>&amp;C&amp;"Arial,Italic"&amp;9Page &amp;P of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16</vt:i4>
      </vt:variant>
    </vt:vector>
  </HeadingPairs>
  <TitlesOfParts>
    <vt:vector size="17" baseType="lpstr">
      <vt:lpstr>Offsite-Offshore</vt:lpstr>
      <vt:lpstr>CSR</vt:lpstr>
      <vt:lpstr>DEV</vt:lpstr>
      <vt:lpstr>OffP</vt:lpstr>
      <vt:lpstr>OffStaff</vt:lpstr>
      <vt:lpstr>OffStaffDol</vt:lpstr>
      <vt:lpstr>OnP</vt:lpstr>
      <vt:lpstr>OnStaff</vt:lpstr>
      <vt:lpstr>OnStaffDol</vt:lpstr>
      <vt:lpstr>OutStaff</vt:lpstr>
      <vt:lpstr>PM</vt:lpstr>
      <vt:lpstr>'Offsite-Offshore'!Print_Area</vt:lpstr>
      <vt:lpstr>ProdP</vt:lpstr>
      <vt:lpstr>Staff</vt:lpstr>
      <vt:lpstr>StaffDol</vt:lpstr>
      <vt:lpstr>TL</vt:lpstr>
      <vt:lpstr>TST</vt:lpstr>
    </vt:vector>
  </TitlesOfParts>
  <Company>Vecrumba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Peters J. Vecrumba</dc:creator>
  <cp:lastModifiedBy>Peters</cp:lastModifiedBy>
  <cp:lastPrinted>2009-08-20T14:02:29Z</cp:lastPrinted>
  <dcterms:created xsi:type="dcterms:W3CDTF">2009-08-03T19:27:25Z</dcterms:created>
  <dcterms:modified xsi:type="dcterms:W3CDTF">2017-07-17T21:59:38Z</dcterms:modified>
</cp:coreProperties>
</file>